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3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R17" i="1"/>
  <c r="L17" i="1"/>
  <c r="K17" i="1"/>
  <c r="R16" i="1"/>
  <c r="L16" i="1"/>
  <c r="K16" i="1"/>
  <c r="L15" i="1"/>
  <c r="K15" i="1"/>
  <c r="L14" i="1"/>
  <c r="K14" i="1"/>
  <c r="K13" i="1"/>
  <c r="M13" i="1" s="1"/>
  <c r="R12" i="1"/>
  <c r="L12" i="1"/>
  <c r="K12" i="1"/>
  <c r="L11" i="1"/>
  <c r="K11" i="1"/>
  <c r="L10" i="1"/>
  <c r="K10" i="1"/>
  <c r="L9" i="1"/>
  <c r="K9" i="1"/>
  <c r="L8" i="1"/>
  <c r="K8" i="1"/>
  <c r="A6" i="1"/>
  <c r="A7" i="1" s="1"/>
  <c r="A5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D1" i="1"/>
  <c r="A1" i="1"/>
  <c r="G17" i="1" s="1"/>
  <c r="R19" i="1" l="1"/>
  <c r="R20" i="1" s="1"/>
  <c r="M9" i="1"/>
  <c r="M11" i="1"/>
  <c r="M15" i="1"/>
  <c r="M10" i="1"/>
  <c r="M8" i="1"/>
  <c r="M12" i="1"/>
  <c r="M14" i="1"/>
  <c r="M16" i="1"/>
  <c r="K19" i="1"/>
  <c r="K20" i="1" s="1"/>
  <c r="M17" i="1"/>
  <c r="H9" i="1"/>
  <c r="I9" i="1" s="1"/>
  <c r="G12" i="1"/>
  <c r="G13" i="1"/>
  <c r="G16" i="1"/>
  <c r="G4" i="1"/>
  <c r="G6" i="1"/>
  <c r="G7" i="1"/>
  <c r="G5" i="1"/>
  <c r="G8" i="1"/>
  <c r="G11" i="1"/>
  <c r="H12" i="1"/>
  <c r="I12" i="1" s="1"/>
  <c r="H13" i="1"/>
  <c r="I13" i="1" s="1"/>
  <c r="G15" i="1"/>
  <c r="H16" i="1"/>
  <c r="I16" i="1" s="1"/>
  <c r="H17" i="1"/>
  <c r="I17" i="1" s="1"/>
  <c r="L19" i="1"/>
  <c r="L20" i="1" s="1"/>
  <c r="M20" i="1" s="1"/>
  <c r="H4" i="1"/>
  <c r="I4" i="1" s="1"/>
  <c r="H6" i="1"/>
  <c r="I6" i="1" s="1"/>
  <c r="H7" i="1"/>
  <c r="I7" i="1" s="1"/>
  <c r="H5" i="1"/>
  <c r="I5" i="1" s="1"/>
  <c r="H8" i="1"/>
  <c r="I8" i="1" s="1"/>
  <c r="G10" i="1"/>
  <c r="H11" i="1"/>
  <c r="I11" i="1" s="1"/>
  <c r="G14" i="1"/>
  <c r="H15" i="1"/>
  <c r="I15" i="1" s="1"/>
  <c r="G9" i="1"/>
  <c r="H10" i="1"/>
  <c r="I10" i="1" s="1"/>
  <c r="H14" i="1"/>
  <c r="I14" i="1" s="1"/>
  <c r="M19" i="1" l="1"/>
</calcChain>
</file>

<file path=xl/sharedStrings.xml><?xml version="1.0" encoding="utf-8"?>
<sst xmlns="http://schemas.openxmlformats.org/spreadsheetml/2006/main" count="99" uniqueCount="64">
  <si>
    <t>APELLIDOS Y NOMBRE</t>
  </si>
  <si>
    <t>CARGO</t>
  </si>
  <si>
    <t>FECHA DE INGRESO</t>
  </si>
  <si>
    <t>TIPO DE CONTRATO</t>
  </si>
  <si>
    <t>FECHA DE TERMINO</t>
  </si>
  <si>
    <t xml:space="preserve">ANTIGÜEDAD </t>
  </si>
  <si>
    <t>SALARIO BRUTO</t>
  </si>
  <si>
    <t>BONO DE LOCOMOCION</t>
  </si>
  <si>
    <t>AUMENTO</t>
  </si>
  <si>
    <t>SUB TOTAL</t>
  </si>
  <si>
    <t>SAL/PJUD</t>
  </si>
  <si>
    <t>AÑOS</t>
  </si>
  <si>
    <t>MESES</t>
  </si>
  <si>
    <t>DIAS</t>
  </si>
  <si>
    <t>CARMEN GLORIA VALLADARES MOYANO </t>
  </si>
  <si>
    <t>SECRETARIA RELATORA Y JEFE SUPERIOR DEL SERVICIO</t>
  </si>
  <si>
    <t>Indefinidido</t>
  </si>
  <si>
    <t>ALEJANDRA GUZMÁN GARRIDO </t>
  </si>
  <si>
    <t>OFICIAL PRIMERO (AD HOC)</t>
  </si>
  <si>
    <t>Indefinido</t>
  </si>
  <si>
    <t>LEOPOLDO NUÑEZ TOME </t>
  </si>
  <si>
    <t xml:space="preserve">JEFE DEL DEPARTAMENTO DE ESTUDIOS </t>
  </si>
  <si>
    <t>TELETRABAJO</t>
  </si>
  <si>
    <t>ARTURO LAGOS PARISI </t>
  </si>
  <si>
    <t>JEFE DE CONTABILIDAD, INFORMATICA Y LA DIV. ELECTORAL</t>
  </si>
  <si>
    <t>GABRIELA QUEZADA ALARCÓN </t>
  </si>
  <si>
    <t>ABOGADO AYUDANTE</t>
  </si>
  <si>
    <t>Plazo Fijo</t>
  </si>
  <si>
    <t>PROFESIONAL ABOGADO</t>
  </si>
  <si>
    <t>UNIDAD DE APOYO TECNICO ADMINISTRATIVO CENTRAL</t>
  </si>
  <si>
    <t>METROPOLITANA</t>
  </si>
  <si>
    <t>XIV</t>
  </si>
  <si>
    <t>CARLOS MENDOZA GONZALEZ </t>
  </si>
  <si>
    <t>ASISTENTE DE INFORMATICA</t>
  </si>
  <si>
    <t>ADMINISTRADOR DE SISTEMAS COMPUTACIONALES</t>
  </si>
  <si>
    <t>XIII</t>
  </si>
  <si>
    <t xml:space="preserve">MARCO ROZAS PALLERES </t>
  </si>
  <si>
    <t>ASISTENTE DE ESTUDIOS</t>
  </si>
  <si>
    <t>SOPORTE TECNICO</t>
  </si>
  <si>
    <t>CORPORACION ADMINISTRATIVA CENTRAL</t>
  </si>
  <si>
    <t>JOSÉ SANCHEZ LORCA </t>
  </si>
  <si>
    <t>ASISTENTE DE CONTABILIDAD</t>
  </si>
  <si>
    <t>ADMINISTRATIVO DE TESORERIA</t>
  </si>
  <si>
    <t>CORPORACION ADMINISTRATIVA DE SANTIAGO</t>
  </si>
  <si>
    <t>XI</t>
  </si>
  <si>
    <t>ASISTENTE  DE PERSONAL</t>
  </si>
  <si>
    <t>ADMINISTRATIVO DE PERSONAL</t>
  </si>
  <si>
    <t>XII</t>
  </si>
  <si>
    <t xml:space="preserve">ARIEL SANTANA ESPINOZA </t>
  </si>
  <si>
    <t xml:space="preserve">OFICIAL AUXILIAR DE SECRETARÍA </t>
  </si>
  <si>
    <t>TECNICO JURIDICO MESA DE AYUDA</t>
  </si>
  <si>
    <t>XVII</t>
  </si>
  <si>
    <t>DANIELA VARGAS TORRES </t>
  </si>
  <si>
    <t>OFICIAL AUXILIAR DE SECRETARÍA</t>
  </si>
  <si>
    <t xml:space="preserve">MIGUEL CONTRERAS ARANGUIZ  </t>
  </si>
  <si>
    <t>MAYORDOMO</t>
  </si>
  <si>
    <t>AUXILIAR ADMINISTRATIVO</t>
  </si>
  <si>
    <t xml:space="preserve">ELENA SANDOVAL                                                                                           </t>
  </si>
  <si>
    <t xml:space="preserve">AUXILIAR DE ASEO </t>
  </si>
  <si>
    <t>OLGA FERNANDEZ ALVAREZ</t>
  </si>
  <si>
    <t>AUXILIAR DE ASEO</t>
  </si>
  <si>
    <t>MONTO DELTA TRICEL-PJUD</t>
  </si>
  <si>
    <t>% DIFERENCIA SUELDO ESCALAFON PJUD -TRICEL</t>
  </si>
  <si>
    <t>OMAR  BRACHO VELASQUEZ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</si>
</sst>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;[Red]&quot;$&quot;\-#,##0"/>
    <numFmt numFmtId="165" formatCode="&quot;$&quot;#,##0"/>
    <numFmt numFmtId="166" formatCode="#,##0\ &quot;A&quot;"/>
    <numFmt numFmtId="167" formatCode="#,##0\ &quot;M&quot;"/>
    <numFmt numFmtId="168" formatCode="#,##0\ &quot;D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color rgb="FF002060"/>
      <name val="Calibri"/>
      <family val="2"/>
      <scheme val="minor"/>
    </font>
    <font>
      <sz val="14"/>
      <color rgb="FF3333FF"/>
      <name val="Calibri"/>
      <family val="2"/>
      <scheme val="minor"/>
    </font>
    <font>
      <sz val="10"/>
      <color rgb="FF212529"/>
      <name val="Roboto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9" fontId="8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 vertical="center" wrapText="1"/>
    </xf>
    <xf numFmtId="10" fontId="8" fillId="2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5" fontId="10" fillId="3" borderId="11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/>
    </xf>
    <xf numFmtId="167" fontId="13" fillId="0" borderId="13" xfId="0" applyNumberFormat="1" applyFont="1" applyBorder="1" applyAlignment="1">
      <alignment horizontal="center"/>
    </xf>
    <xf numFmtId="168" fontId="13" fillId="0" borderId="13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0" xfId="0" applyFont="1"/>
    <xf numFmtId="165" fontId="12" fillId="0" borderId="0" xfId="0" applyNumberFormat="1" applyFont="1"/>
    <xf numFmtId="0" fontId="11" fillId="0" borderId="14" xfId="0" applyFont="1" applyBorder="1" applyAlignment="1">
      <alignment horizontal="center" vertical="center"/>
    </xf>
    <xf numFmtId="14" fontId="12" fillId="0" borderId="15" xfId="0" applyNumberFormat="1" applyFont="1" applyBorder="1" applyAlignment="1">
      <alignment horizontal="center" vertical="center"/>
    </xf>
    <xf numFmtId="166" fontId="13" fillId="0" borderId="15" xfId="0" applyNumberFormat="1" applyFont="1" applyBorder="1" applyAlignment="1">
      <alignment horizontal="center"/>
    </xf>
    <xf numFmtId="167" fontId="13" fillId="0" borderId="15" xfId="0" applyNumberFormat="1" applyFont="1" applyBorder="1" applyAlignment="1">
      <alignment horizontal="center"/>
    </xf>
    <xf numFmtId="168" fontId="13" fillId="0" borderId="15" xfId="0" applyNumberFormat="1" applyFont="1" applyBorder="1" applyAlignment="1">
      <alignment horizontal="center"/>
    </xf>
    <xf numFmtId="0" fontId="14" fillId="3" borderId="0" xfId="0" applyFont="1" applyFill="1"/>
    <xf numFmtId="0" fontId="9" fillId="3" borderId="3" xfId="0" applyFont="1" applyFill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/>
    </xf>
    <xf numFmtId="167" fontId="13" fillId="3" borderId="4" xfId="0" applyNumberFormat="1" applyFont="1" applyFill="1" applyBorder="1" applyAlignment="1">
      <alignment horizontal="center"/>
    </xf>
    <xf numFmtId="168" fontId="13" fillId="3" borderId="4" xfId="0" applyNumberFormat="1" applyFont="1" applyFill="1" applyBorder="1" applyAlignment="1">
      <alignment horizontal="center"/>
    </xf>
    <xf numFmtId="165" fontId="12" fillId="3" borderId="17" xfId="0" applyNumberFormat="1" applyFont="1" applyFill="1" applyBorder="1" applyAlignment="1">
      <alignment horizontal="center"/>
    </xf>
    <xf numFmtId="165" fontId="15" fillId="3" borderId="18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7" fillId="3" borderId="0" xfId="0" applyFont="1" applyFill="1"/>
    <xf numFmtId="14" fontId="12" fillId="3" borderId="8" xfId="0" applyNumberFormat="1" applyFont="1" applyFill="1" applyBorder="1" applyAlignment="1">
      <alignment horizontal="center" vertical="center"/>
    </xf>
    <xf numFmtId="166" fontId="13" fillId="3" borderId="8" xfId="0" applyNumberFormat="1" applyFont="1" applyFill="1" applyBorder="1" applyAlignment="1">
      <alignment horizontal="center"/>
    </xf>
    <xf numFmtId="167" fontId="13" fillId="3" borderId="8" xfId="0" applyNumberFormat="1" applyFont="1" applyFill="1" applyBorder="1" applyAlignment="1">
      <alignment horizontal="center"/>
    </xf>
    <xf numFmtId="168" fontId="13" fillId="3" borderId="8" xfId="0" applyNumberFormat="1" applyFont="1" applyFill="1" applyBorder="1" applyAlignment="1">
      <alignment horizontal="center"/>
    </xf>
    <xf numFmtId="165" fontId="10" fillId="3" borderId="8" xfId="0" applyNumberFormat="1" applyFont="1" applyFill="1" applyBorder="1" applyAlignment="1">
      <alignment horizontal="center"/>
    </xf>
    <xf numFmtId="165" fontId="12" fillId="3" borderId="19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wrapText="1"/>
    </xf>
    <xf numFmtId="0" fontId="16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top" wrapText="1"/>
    </xf>
    <xf numFmtId="164" fontId="16" fillId="0" borderId="13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2" fillId="3" borderId="20" xfId="0" applyNumberFormat="1" applyFont="1" applyFill="1" applyBorder="1" applyAlignment="1">
      <alignment horizontal="center" vertical="center"/>
    </xf>
    <xf numFmtId="166" fontId="13" fillId="3" borderId="20" xfId="0" applyNumberFormat="1" applyFont="1" applyFill="1" applyBorder="1" applyAlignment="1">
      <alignment horizontal="center"/>
    </xf>
    <xf numFmtId="167" fontId="13" fillId="3" borderId="20" xfId="0" applyNumberFormat="1" applyFont="1" applyFill="1" applyBorder="1" applyAlignment="1">
      <alignment horizontal="center"/>
    </xf>
    <xf numFmtId="168" fontId="13" fillId="3" borderId="20" xfId="0" applyNumberFormat="1" applyFont="1" applyFill="1" applyBorder="1" applyAlignment="1">
      <alignment horizontal="center"/>
    </xf>
    <xf numFmtId="14" fontId="12" fillId="3" borderId="13" xfId="0" applyNumberFormat="1" applyFont="1" applyFill="1" applyBorder="1" applyAlignment="1">
      <alignment horizontal="center" vertical="center"/>
    </xf>
    <xf numFmtId="166" fontId="13" fillId="3" borderId="13" xfId="0" applyNumberFormat="1" applyFont="1" applyFill="1" applyBorder="1" applyAlignment="1">
      <alignment horizontal="center"/>
    </xf>
    <xf numFmtId="167" fontId="13" fillId="3" borderId="13" xfId="0" applyNumberFormat="1" applyFont="1" applyFill="1" applyBorder="1" applyAlignment="1">
      <alignment horizontal="center"/>
    </xf>
    <xf numFmtId="168" fontId="13" fillId="3" borderId="13" xfId="0" applyNumberFormat="1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2" fillId="3" borderId="0" xfId="0" applyFont="1" applyFill="1"/>
    <xf numFmtId="165" fontId="12" fillId="4" borderId="19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164" fontId="16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6" fillId="4" borderId="0" xfId="0" applyNumberFormat="1" applyFont="1" applyFill="1" applyAlignment="1">
      <alignment horizontal="center" vertical="center"/>
    </xf>
    <xf numFmtId="9" fontId="3" fillId="0" borderId="0" xfId="1" applyFont="1" applyAlignment="1">
      <alignment horizontal="center"/>
    </xf>
    <xf numFmtId="10" fontId="7" fillId="0" borderId="0" xfId="1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4" borderId="0" xfId="0" applyNumberFormat="1" applyFont="1" applyFill="1" applyAlignment="1">
      <alignment horizontal="center" vertical="center"/>
    </xf>
    <xf numFmtId="0" fontId="12" fillId="0" borderId="13" xfId="0" applyFont="1" applyBorder="1" applyAlignment="1">
      <alignment horizontal="center"/>
    </xf>
    <xf numFmtId="14" fontId="11" fillId="0" borderId="13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14" fontId="11" fillId="3" borderId="20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/>
    </xf>
    <xf numFmtId="14" fontId="11" fillId="3" borderId="13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14" fontId="11" fillId="3" borderId="8" xfId="0" applyNumberFormat="1" applyFont="1" applyFill="1" applyBorder="1" applyAlignment="1">
      <alignment horizontal="center" vertical="center"/>
    </xf>
    <xf numFmtId="14" fontId="12" fillId="3" borderId="8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center" vertical="center" wrapText="1"/>
    </xf>
    <xf numFmtId="164" fontId="16" fillId="3" borderId="19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0" fillId="0" borderId="0" xfId="0" applyFont="1"/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11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7" fontId="13" fillId="0" borderId="4" xfId="0" applyNumberFormat="1" applyFont="1" applyBorder="1" applyAlignment="1">
      <alignment horizontal="center"/>
    </xf>
    <xf numFmtId="168" fontId="13" fillId="0" borderId="4" xfId="0" applyNumberFormat="1" applyFont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/>
    </xf>
    <xf numFmtId="165" fontId="12" fillId="3" borderId="11" xfId="0" applyNumberFormat="1" applyFont="1" applyFill="1" applyBorder="1" applyAlignment="1">
      <alignment horizontal="center"/>
    </xf>
    <xf numFmtId="0" fontId="12" fillId="0" borderId="11" xfId="0" applyFont="1" applyBorder="1"/>
    <xf numFmtId="0" fontId="12" fillId="0" borderId="13" xfId="0" applyFont="1" applyBorder="1" applyAlignment="1">
      <alignment horizontal="left"/>
    </xf>
    <xf numFmtId="165" fontId="12" fillId="3" borderId="13" xfId="0" applyNumberFormat="1" applyFont="1" applyFill="1" applyBorder="1" applyAlignment="1">
      <alignment horizontal="center"/>
    </xf>
    <xf numFmtId="165" fontId="12" fillId="3" borderId="2" xfId="0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5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14" fontId="11" fillId="0" borderId="15" xfId="0" applyNumberFormat="1" applyFont="1" applyBorder="1" applyAlignment="1">
      <alignment horizontal="center" vertical="center"/>
    </xf>
    <xf numFmtId="14" fontId="12" fillId="0" borderId="15" xfId="0" applyNumberFormat="1" applyFont="1" applyBorder="1" applyAlignment="1">
      <alignment horizontal="center"/>
    </xf>
    <xf numFmtId="165" fontId="12" fillId="3" borderId="15" xfId="0" applyNumberFormat="1" applyFont="1" applyFill="1" applyBorder="1" applyAlignment="1">
      <alignment horizontal="center"/>
    </xf>
    <xf numFmtId="165" fontId="12" fillId="3" borderId="16" xfId="0" applyNumberFormat="1" applyFont="1" applyFill="1" applyBorder="1" applyAlignment="1">
      <alignment horizontal="center"/>
    </xf>
    <xf numFmtId="0" fontId="12" fillId="0" borderId="16" xfId="0" applyFont="1" applyBorder="1"/>
    <xf numFmtId="0" fontId="0" fillId="3" borderId="0" xfId="0" applyFont="1" applyFill="1"/>
    <xf numFmtId="165" fontId="12" fillId="3" borderId="20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 vertical="center"/>
    </xf>
    <xf numFmtId="166" fontId="13" fillId="3" borderId="8" xfId="0" applyNumberFormat="1" applyFont="1" applyFill="1" applyBorder="1" applyAlignment="1">
      <alignment horizontal="center" vertical="center"/>
    </xf>
    <xf numFmtId="167" fontId="13" fillId="3" borderId="8" xfId="0" applyNumberFormat="1" applyFont="1" applyFill="1" applyBorder="1" applyAlignment="1">
      <alignment horizontal="center" vertical="center"/>
    </xf>
    <xf numFmtId="168" fontId="13" fillId="3" borderId="8" xfId="0" applyNumberFormat="1" applyFont="1" applyFill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9" fontId="8" fillId="2" borderId="6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54666</xdr:colOff>
      <xdr:row>17</xdr:row>
      <xdr:rowOff>78653</xdr:rowOff>
    </xdr:from>
    <xdr:to>
      <xdr:col>17</xdr:col>
      <xdr:colOff>43295</xdr:colOff>
      <xdr:row>18</xdr:row>
      <xdr:rowOff>423573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D5759219-7F98-4FBC-9558-85C000B490E7}"/>
            </a:ext>
          </a:extLst>
        </xdr:cNvPr>
        <xdr:cNvSpPr/>
      </xdr:nvSpPr>
      <xdr:spPr>
        <a:xfrm>
          <a:off x="9624060" y="7965353"/>
          <a:ext cx="0" cy="443980"/>
        </a:xfrm>
        <a:prstGeom prst="rightArrow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14</xdr:col>
      <xdr:colOff>25976</xdr:colOff>
      <xdr:row>19</xdr:row>
      <xdr:rowOff>0</xdr:rowOff>
    </xdr:from>
    <xdr:to>
      <xdr:col>16</xdr:col>
      <xdr:colOff>793748</xdr:colOff>
      <xdr:row>20</xdr:row>
      <xdr:rowOff>15875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C21085F7-6D34-46F2-A01D-F72A2A64062A}"/>
            </a:ext>
          </a:extLst>
        </xdr:cNvPr>
        <xdr:cNvSpPr/>
      </xdr:nvSpPr>
      <xdr:spPr>
        <a:xfrm>
          <a:off x="9624060" y="8412480"/>
          <a:ext cx="0" cy="442595"/>
        </a:xfrm>
        <a:prstGeom prst="rightArrow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17</xdr:col>
      <xdr:colOff>813955</xdr:colOff>
      <xdr:row>15</xdr:row>
      <xdr:rowOff>0</xdr:rowOff>
    </xdr:from>
    <xdr:to>
      <xdr:col>18</xdr:col>
      <xdr:colOff>86592</xdr:colOff>
      <xdr:row>17</xdr:row>
      <xdr:rowOff>51954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693F3FEF-D4B8-4C7F-B0F7-A3449DF55CB9}"/>
            </a:ext>
          </a:extLst>
        </xdr:cNvPr>
        <xdr:cNvSpPr/>
      </xdr:nvSpPr>
      <xdr:spPr>
        <a:xfrm>
          <a:off x="9624060" y="7124700"/>
          <a:ext cx="86592" cy="813954"/>
        </a:xfrm>
        <a:prstGeom prst="righ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%20Bracho/Documents/PERSONAL%20TRICEL%202021/VARIOS/Rol%2006-2019%20SOLICITUD%20DE%20AJUSTE%20SALARIAL%20Y%20ASIGNACION%20DE%20BENEFICIOS/PROPUESTA%20AJUSTE%20SALARIAL%20DVT%2030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1"/>
      <sheetName val="ESCENARIO 2"/>
      <sheetName val="Sheet3"/>
      <sheetName val="Sheet2"/>
      <sheetName val="Sheet1"/>
      <sheetName val="Sheet1 (3)"/>
    </sheetNames>
    <sheetDataSet>
      <sheetData sheetId="0"/>
      <sheetData sheetId="1"/>
      <sheetData sheetId="2"/>
      <sheetData sheetId="3">
        <row r="144">
          <cell r="G144">
            <v>1474632.4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S11" sqref="S11"/>
    </sheetView>
  </sheetViews>
  <sheetFormatPr baseColWidth="10" defaultColWidth="11.5703125" defaultRowHeight="15.75"/>
  <cols>
    <col min="1" max="1" width="8.28515625" style="66" customWidth="1"/>
    <col min="2" max="2" width="36.140625" customWidth="1"/>
    <col min="3" max="3" width="52.7109375" bestFit="1" customWidth="1"/>
    <col min="4" max="4" width="12.5703125" style="67" customWidth="1"/>
    <col min="5" max="5" width="12.5703125" style="68" customWidth="1"/>
    <col min="6" max="6" width="14.85546875" customWidth="1"/>
    <col min="7" max="7" width="8.7109375" style="69" customWidth="1"/>
    <col min="8" max="8" width="8.85546875" style="69" customWidth="1"/>
    <col min="9" max="9" width="8.42578125" customWidth="1"/>
    <col min="10" max="10" width="13.28515625" style="66" customWidth="1"/>
    <col min="11" max="11" width="15.140625" style="66" hidden="1" customWidth="1"/>
    <col min="12" max="12" width="11.5703125" hidden="1" customWidth="1"/>
    <col min="13" max="13" width="16.7109375" hidden="1" customWidth="1"/>
    <col min="14" max="14" width="26.28515625" hidden="1" customWidth="1"/>
    <col min="15" max="15" width="32.42578125" hidden="1" customWidth="1"/>
    <col min="16" max="16" width="21.42578125" hidden="1" customWidth="1"/>
    <col min="17" max="17" width="0" hidden="1" customWidth="1"/>
    <col min="18" max="18" width="12.7109375" hidden="1" customWidth="1"/>
    <col min="19" max="19" width="16.28515625" customWidth="1"/>
  </cols>
  <sheetData>
    <row r="1" spans="1:19" ht="27" thickBot="1">
      <c r="A1" s="1">
        <f ca="1">NOW()</f>
        <v>44517.444898611109</v>
      </c>
      <c r="C1" s="2"/>
      <c r="D1" s="3">
        <f ca="1">NOW()</f>
        <v>44517.444898611109</v>
      </c>
      <c r="E1" s="145"/>
      <c r="F1" s="146"/>
      <c r="G1" s="146"/>
      <c r="H1" s="146"/>
      <c r="I1" s="146"/>
      <c r="J1" s="146"/>
      <c r="K1" s="146"/>
      <c r="L1" s="146"/>
      <c r="M1" s="4">
        <v>22</v>
      </c>
    </row>
    <row r="2" spans="1:19" s="5" customFormat="1" ht="32.25" thickBot="1">
      <c r="A2" s="6"/>
      <c r="B2" s="134" t="s">
        <v>0</v>
      </c>
      <c r="C2" s="136" t="s">
        <v>1</v>
      </c>
      <c r="D2" s="138" t="s">
        <v>2</v>
      </c>
      <c r="E2" s="138" t="s">
        <v>3</v>
      </c>
      <c r="F2" s="138" t="s">
        <v>4</v>
      </c>
      <c r="G2" s="138" t="s">
        <v>5</v>
      </c>
      <c r="H2" s="138"/>
      <c r="I2" s="138"/>
      <c r="J2" s="147" t="s">
        <v>6</v>
      </c>
      <c r="K2" s="7" t="s">
        <v>7</v>
      </c>
      <c r="L2" s="8" t="s">
        <v>8</v>
      </c>
      <c r="M2" s="8" t="s">
        <v>9</v>
      </c>
      <c r="N2" s="140" t="s">
        <v>10</v>
      </c>
      <c r="O2" s="141"/>
      <c r="P2" s="141"/>
      <c r="Q2" s="141"/>
      <c r="R2" s="141"/>
    </row>
    <row r="3" spans="1:19" ht="16.5" thickBot="1">
      <c r="A3" s="9"/>
      <c r="B3" s="135"/>
      <c r="C3" s="137"/>
      <c r="D3" s="139"/>
      <c r="E3" s="139"/>
      <c r="F3" s="139"/>
      <c r="G3" s="10" t="s">
        <v>11</v>
      </c>
      <c r="H3" s="10" t="s">
        <v>12</v>
      </c>
      <c r="I3" s="10" t="s">
        <v>13</v>
      </c>
      <c r="J3" s="148"/>
      <c r="K3" s="11">
        <v>2200</v>
      </c>
      <c r="L3" s="12">
        <v>0.13</v>
      </c>
      <c r="M3" s="13"/>
      <c r="N3" s="140"/>
      <c r="O3" s="141"/>
      <c r="P3" s="141"/>
      <c r="Q3" s="141"/>
      <c r="R3" s="141"/>
    </row>
    <row r="4" spans="1:19" s="98" customFormat="1" ht="36.6" customHeight="1">
      <c r="A4" s="99">
        <v>1</v>
      </c>
      <c r="B4" s="100" t="s">
        <v>14</v>
      </c>
      <c r="C4" s="101" t="s">
        <v>15</v>
      </c>
      <c r="D4" s="102">
        <v>32015</v>
      </c>
      <c r="E4" s="103" t="s">
        <v>16</v>
      </c>
      <c r="F4" s="104"/>
      <c r="G4" s="105">
        <f t="shared" ref="G4:G17" ca="1" si="0">INT(DAYS360(D4,$A$1)/360)</f>
        <v>34</v>
      </c>
      <c r="H4" s="106">
        <f t="shared" ref="H4:H17" ca="1" si="1">INT((DAYS360(D4,$A$1)-(INT(DAYS360(D4,$A$1)/360)*360))/30)</f>
        <v>2</v>
      </c>
      <c r="I4" s="107">
        <f t="shared" ref="I4:I17" ca="1" si="2">DAYS360(D4,$A$1)-(INT(DAYS360(D4,$A$1)/360)*360)-H4*30</f>
        <v>21</v>
      </c>
      <c r="J4" s="108">
        <v>5501791</v>
      </c>
      <c r="K4" s="109"/>
      <c r="L4" s="110"/>
      <c r="M4" s="21"/>
    </row>
    <row r="5" spans="1:19" s="21" customFormat="1" ht="34.9" customHeight="1">
      <c r="A5" s="23">
        <f>A7+1</f>
        <v>4</v>
      </c>
      <c r="B5" s="119" t="s">
        <v>23</v>
      </c>
      <c r="C5" s="120" t="s">
        <v>24</v>
      </c>
      <c r="D5" s="121">
        <v>33635</v>
      </c>
      <c r="E5" s="24" t="s">
        <v>19</v>
      </c>
      <c r="F5" s="122"/>
      <c r="G5" s="25">
        <f ca="1">INT(DAYS360(D5,$A$1)/360)</f>
        <v>29</v>
      </c>
      <c r="H5" s="26">
        <f ca="1">INT((DAYS360(D5,$A$1)-(INT(DAYS360(D5,$A$1)/360)*360))/30)</f>
        <v>9</v>
      </c>
      <c r="I5" s="27">
        <f ca="1">DAYS360(D5,$A$1)-(INT(DAYS360(D5,$A$1)/360)*360)-H5*30</f>
        <v>16</v>
      </c>
      <c r="J5" s="123">
        <v>3363750</v>
      </c>
      <c r="K5" s="124"/>
      <c r="L5" s="125"/>
      <c r="N5" s="22"/>
    </row>
    <row r="6" spans="1:19" s="98" customFormat="1" ht="34.9" customHeight="1">
      <c r="A6" s="15">
        <f>A4+1</f>
        <v>2</v>
      </c>
      <c r="B6" s="111" t="s">
        <v>17</v>
      </c>
      <c r="C6" s="75" t="s">
        <v>18</v>
      </c>
      <c r="D6" s="76">
        <v>41848</v>
      </c>
      <c r="E6" s="16" t="s">
        <v>19</v>
      </c>
      <c r="F6" s="75"/>
      <c r="G6" s="17">
        <f t="shared" ca="1" si="0"/>
        <v>7</v>
      </c>
      <c r="H6" s="18">
        <f t="shared" ca="1" si="1"/>
        <v>3</v>
      </c>
      <c r="I6" s="19">
        <f t="shared" ca="1" si="2"/>
        <v>19</v>
      </c>
      <c r="J6" s="112">
        <v>2487375</v>
      </c>
      <c r="K6" s="113"/>
      <c r="L6" s="20"/>
      <c r="M6" s="21"/>
    </row>
    <row r="7" spans="1:19" s="21" customFormat="1" ht="34.9" customHeight="1" thickBot="1">
      <c r="A7" s="15">
        <f>A6+1</f>
        <v>3</v>
      </c>
      <c r="B7" s="111" t="s">
        <v>20</v>
      </c>
      <c r="C7" s="114" t="s">
        <v>21</v>
      </c>
      <c r="D7" s="76">
        <v>41645</v>
      </c>
      <c r="E7" s="16" t="s">
        <v>19</v>
      </c>
      <c r="F7" s="114"/>
      <c r="G7" s="17">
        <f ca="1">INT(DAYS360(D7,$A$1)/360)</f>
        <v>7</v>
      </c>
      <c r="H7" s="18">
        <f ca="1">INT((DAYS360(D7,$A$1)-(INT(DAYS360(D7,$A$1)/360)*360))/30)</f>
        <v>10</v>
      </c>
      <c r="I7" s="19">
        <f ca="1">DAYS360(D7,$A$1)-(INT(DAYS360(D7,$A$1)/360)*360)-H7*30</f>
        <v>11</v>
      </c>
      <c r="J7" s="115">
        <v>3004453</v>
      </c>
      <c r="K7" s="116"/>
      <c r="L7" s="117" t="s">
        <v>22</v>
      </c>
      <c r="M7" s="118"/>
      <c r="N7" s="22"/>
    </row>
    <row r="8" spans="1:19" s="126" customFormat="1" ht="26.25" thickBot="1">
      <c r="A8" s="47">
        <f>A5+1</f>
        <v>5</v>
      </c>
      <c r="B8" s="88" t="s">
        <v>25</v>
      </c>
      <c r="C8" s="78" t="s">
        <v>26</v>
      </c>
      <c r="D8" s="79">
        <v>44272</v>
      </c>
      <c r="E8" s="30" t="s">
        <v>27</v>
      </c>
      <c r="F8" s="30">
        <v>44561</v>
      </c>
      <c r="G8" s="31">
        <f ca="1">INT(DAYS360(D8,$A$1)/360)</f>
        <v>0</v>
      </c>
      <c r="H8" s="32">
        <f ca="1">INT((DAYS360(D8,$A$1)-(INT(DAYS360(D8,$A$1)/360)*360))/30)</f>
        <v>8</v>
      </c>
      <c r="I8" s="33">
        <f ca="1">DAYS360(D8,$A$1)-(INT(DAYS360(D8,$A$1)/360)*360)-H8*30</f>
        <v>0</v>
      </c>
      <c r="J8" s="108">
        <v>1234089</v>
      </c>
      <c r="K8" s="109">
        <f t="shared" ref="K8:K17" si="3">$K$3*$M$1</f>
        <v>48400</v>
      </c>
      <c r="L8" s="34">
        <f>J8*$L$3</f>
        <v>160431.57</v>
      </c>
      <c r="M8" s="35">
        <f>J8+L8+K8</f>
        <v>1442920.57</v>
      </c>
      <c r="N8" s="36" t="s">
        <v>28</v>
      </c>
      <c r="O8" s="37" t="s">
        <v>29</v>
      </c>
      <c r="P8" s="38" t="s">
        <v>30</v>
      </c>
      <c r="Q8" s="38" t="s">
        <v>31</v>
      </c>
      <c r="R8" s="39">
        <v>1434839</v>
      </c>
    </row>
    <row r="9" spans="1:19" s="52" customFormat="1" ht="29.45" customHeight="1" thickBot="1">
      <c r="A9" s="47">
        <f>A8+1</f>
        <v>6</v>
      </c>
      <c r="B9" s="88" t="s">
        <v>32</v>
      </c>
      <c r="C9" s="77" t="s">
        <v>33</v>
      </c>
      <c r="D9" s="79">
        <v>44333</v>
      </c>
      <c r="E9" s="30" t="s">
        <v>19</v>
      </c>
      <c r="F9" s="77"/>
      <c r="G9" s="31">
        <f ca="1">INT(DAYS360(D9,$A$1)/360)</f>
        <v>0</v>
      </c>
      <c r="H9" s="32">
        <f ca="1">INT((DAYS360(D9,$A$1)-(INT(DAYS360(D9,$A$1)/360)*360))/30)</f>
        <v>6</v>
      </c>
      <c r="I9" s="33">
        <f ca="1">DAYS360(D9,$A$1)-(INT(DAYS360(D9,$A$1)/360)*360)-H9*30</f>
        <v>0</v>
      </c>
      <c r="J9" s="108">
        <v>1109372</v>
      </c>
      <c r="K9" s="109">
        <f t="shared" si="3"/>
        <v>48400</v>
      </c>
      <c r="L9" s="46">
        <f>J9*$L$3</f>
        <v>144218.36000000002</v>
      </c>
      <c r="M9" s="35">
        <f>J9+L9+K9</f>
        <v>1301990.3600000001</v>
      </c>
      <c r="N9" s="48" t="s">
        <v>34</v>
      </c>
      <c r="O9" s="49" t="s">
        <v>29</v>
      </c>
      <c r="P9" s="50" t="s">
        <v>30</v>
      </c>
      <c r="Q9" s="50" t="s">
        <v>35</v>
      </c>
      <c r="R9" s="51">
        <v>1612490</v>
      </c>
    </row>
    <row r="10" spans="1:19" s="126" customFormat="1" ht="26.25" thickBot="1">
      <c r="A10" s="47">
        <f>A9+1</f>
        <v>7</v>
      </c>
      <c r="B10" s="89" t="s">
        <v>36</v>
      </c>
      <c r="C10" s="80" t="s">
        <v>37</v>
      </c>
      <c r="D10" s="81">
        <v>36465</v>
      </c>
      <c r="E10" s="53" t="s">
        <v>19</v>
      </c>
      <c r="F10" s="80"/>
      <c r="G10" s="54">
        <f t="shared" ca="1" si="0"/>
        <v>22</v>
      </c>
      <c r="H10" s="55">
        <f t="shared" ca="1" si="1"/>
        <v>0</v>
      </c>
      <c r="I10" s="56">
        <f t="shared" ca="1" si="2"/>
        <v>16</v>
      </c>
      <c r="J10" s="127">
        <v>1389126</v>
      </c>
      <c r="K10" s="109">
        <f t="shared" si="3"/>
        <v>48400</v>
      </c>
      <c r="L10" s="46">
        <f>J10*$L$3</f>
        <v>180586.38</v>
      </c>
      <c r="M10" s="35">
        <f t="shared" ref="M10:M17" si="4">J10+L10+K10</f>
        <v>1618112.38</v>
      </c>
      <c r="N10" s="48" t="s">
        <v>38</v>
      </c>
      <c r="O10" s="49" t="s">
        <v>39</v>
      </c>
      <c r="P10" s="50" t="s">
        <v>30</v>
      </c>
      <c r="Q10" s="50" t="s">
        <v>31</v>
      </c>
      <c r="R10" s="51">
        <v>1418962</v>
      </c>
    </row>
    <row r="11" spans="1:19" s="62" customFormat="1" ht="27.75" thickBot="1">
      <c r="A11" s="47">
        <f t="shared" ref="A11:A17" si="5">A10+1</f>
        <v>8</v>
      </c>
      <c r="B11" s="90" t="s">
        <v>40</v>
      </c>
      <c r="C11" s="82" t="s">
        <v>41</v>
      </c>
      <c r="D11" s="83">
        <v>42309</v>
      </c>
      <c r="E11" s="57" t="s">
        <v>19</v>
      </c>
      <c r="F11" s="82"/>
      <c r="G11" s="58">
        <f t="shared" ca="1" si="0"/>
        <v>6</v>
      </c>
      <c r="H11" s="59">
        <f t="shared" ca="1" si="1"/>
        <v>0</v>
      </c>
      <c r="I11" s="60">
        <f t="shared" ca="1" si="2"/>
        <v>16</v>
      </c>
      <c r="J11" s="112">
        <v>1389126</v>
      </c>
      <c r="K11" s="109">
        <f t="shared" si="3"/>
        <v>48400</v>
      </c>
      <c r="L11" s="46">
        <f>J11*$L$3</f>
        <v>180586.38</v>
      </c>
      <c r="M11" s="35">
        <f t="shared" si="4"/>
        <v>1618112.38</v>
      </c>
      <c r="N11" s="48" t="s">
        <v>42</v>
      </c>
      <c r="O11" s="49" t="s">
        <v>43</v>
      </c>
      <c r="P11" s="61" t="s">
        <v>30</v>
      </c>
      <c r="Q11" s="61" t="s">
        <v>44</v>
      </c>
      <c r="R11" s="51">
        <v>1960848</v>
      </c>
    </row>
    <row r="12" spans="1:19" s="62" customFormat="1" ht="27.75" thickBot="1">
      <c r="A12" s="47">
        <f>A11+1</f>
        <v>9</v>
      </c>
      <c r="B12" s="91" t="s">
        <v>63</v>
      </c>
      <c r="C12" s="84" t="s">
        <v>45</v>
      </c>
      <c r="D12" s="85">
        <v>44409</v>
      </c>
      <c r="E12" s="41" t="s">
        <v>19</v>
      </c>
      <c r="F12" s="86"/>
      <c r="G12" s="42">
        <f t="shared" ca="1" si="0"/>
        <v>0</v>
      </c>
      <c r="H12" s="43">
        <f t="shared" ca="1" si="1"/>
        <v>3</v>
      </c>
      <c r="I12" s="44">
        <f t="shared" ca="1" si="2"/>
        <v>16</v>
      </c>
      <c r="J12" s="128">
        <v>889041</v>
      </c>
      <c r="K12" s="109">
        <f t="shared" si="3"/>
        <v>48400</v>
      </c>
      <c r="L12" s="46">
        <f>J12*$L$3</f>
        <v>115575.33</v>
      </c>
      <c r="M12" s="35">
        <f t="shared" si="4"/>
        <v>1053016.33</v>
      </c>
      <c r="N12" s="48" t="s">
        <v>46</v>
      </c>
      <c r="O12" s="49" t="s">
        <v>43</v>
      </c>
      <c r="P12" s="50" t="s">
        <v>30</v>
      </c>
      <c r="Q12" s="50" t="s">
        <v>47</v>
      </c>
      <c r="R12" s="51">
        <f>+[1]Sheet2!G144</f>
        <v>1474632.4</v>
      </c>
    </row>
    <row r="13" spans="1:19" s="28" customFormat="1" ht="27.75" thickBot="1">
      <c r="A13" s="47">
        <f t="shared" si="5"/>
        <v>10</v>
      </c>
      <c r="B13" s="88" t="s">
        <v>48</v>
      </c>
      <c r="C13" s="77" t="s">
        <v>49</v>
      </c>
      <c r="D13" s="79">
        <v>41605</v>
      </c>
      <c r="E13" s="30" t="s">
        <v>19</v>
      </c>
      <c r="F13" s="77"/>
      <c r="G13" s="31">
        <f t="shared" ca="1" si="0"/>
        <v>7</v>
      </c>
      <c r="H13" s="32">
        <f t="shared" ca="1" si="1"/>
        <v>11</v>
      </c>
      <c r="I13" s="33">
        <f t="shared" ca="1" si="2"/>
        <v>20</v>
      </c>
      <c r="J13" s="108">
        <v>889041</v>
      </c>
      <c r="K13" s="109">
        <f t="shared" si="3"/>
        <v>48400</v>
      </c>
      <c r="L13" s="46">
        <v>0</v>
      </c>
      <c r="M13" s="35">
        <f t="shared" si="4"/>
        <v>937441</v>
      </c>
      <c r="N13" s="48" t="s">
        <v>50</v>
      </c>
      <c r="O13" s="49" t="s">
        <v>29</v>
      </c>
      <c r="P13" s="50" t="s">
        <v>30</v>
      </c>
      <c r="Q13" s="50" t="s">
        <v>51</v>
      </c>
      <c r="R13" s="51">
        <v>1145973</v>
      </c>
    </row>
    <row r="14" spans="1:19" s="28" customFormat="1" ht="26.25" thickBot="1">
      <c r="A14" s="47">
        <f t="shared" si="5"/>
        <v>11</v>
      </c>
      <c r="B14" s="129" t="s">
        <v>52</v>
      </c>
      <c r="C14" s="97" t="s">
        <v>53</v>
      </c>
      <c r="D14" s="85">
        <v>43053</v>
      </c>
      <c r="E14" s="41" t="s">
        <v>19</v>
      </c>
      <c r="F14" s="41"/>
      <c r="G14" s="130">
        <f t="shared" ca="1" si="0"/>
        <v>4</v>
      </c>
      <c r="H14" s="131">
        <f t="shared" ca="1" si="1"/>
        <v>0</v>
      </c>
      <c r="I14" s="132">
        <f t="shared" ca="1" si="2"/>
        <v>3</v>
      </c>
      <c r="J14" s="133">
        <v>889041</v>
      </c>
      <c r="K14" s="109">
        <f t="shared" si="3"/>
        <v>48400</v>
      </c>
      <c r="L14" s="63">
        <f>J14*15%</f>
        <v>133356.15</v>
      </c>
      <c r="M14" s="35">
        <f t="shared" si="4"/>
        <v>1070797.1499999999</v>
      </c>
      <c r="N14" s="64" t="s">
        <v>50</v>
      </c>
      <c r="O14" s="64" t="s">
        <v>29</v>
      </c>
      <c r="P14" s="64" t="s">
        <v>30</v>
      </c>
      <c r="Q14" s="64" t="s">
        <v>51</v>
      </c>
      <c r="R14" s="65">
        <v>1145974</v>
      </c>
    </row>
    <row r="15" spans="1:19" s="126" customFormat="1" ht="26.25" thickBot="1">
      <c r="A15" s="47">
        <f t="shared" si="5"/>
        <v>12</v>
      </c>
      <c r="B15" s="91" t="s">
        <v>54</v>
      </c>
      <c r="C15" s="97" t="s">
        <v>55</v>
      </c>
      <c r="D15" s="85">
        <v>44336</v>
      </c>
      <c r="E15" s="41" t="s">
        <v>19</v>
      </c>
      <c r="F15" s="97"/>
      <c r="G15" s="42">
        <f t="shared" ca="1" si="0"/>
        <v>0</v>
      </c>
      <c r="H15" s="43">
        <f t="shared" ca="1" si="1"/>
        <v>5</v>
      </c>
      <c r="I15" s="44">
        <f t="shared" ca="1" si="2"/>
        <v>27</v>
      </c>
      <c r="J15" s="128">
        <v>866815</v>
      </c>
      <c r="K15" s="109">
        <f t="shared" si="3"/>
        <v>48400</v>
      </c>
      <c r="L15" s="46">
        <f>J15*$L$3</f>
        <v>112685.95</v>
      </c>
      <c r="M15" s="35">
        <f t="shared" si="4"/>
        <v>1027900.95</v>
      </c>
      <c r="N15" s="92" t="s">
        <v>56</v>
      </c>
      <c r="O15" s="93" t="s">
        <v>39</v>
      </c>
      <c r="P15" s="94" t="s">
        <v>30</v>
      </c>
      <c r="Q15" s="94" t="s">
        <v>51</v>
      </c>
      <c r="R15" s="95">
        <v>1015542</v>
      </c>
    </row>
    <row r="16" spans="1:19" s="52" customFormat="1" ht="26.25" thickBot="1">
      <c r="A16" s="47">
        <f t="shared" si="5"/>
        <v>13</v>
      </c>
      <c r="B16" s="91" t="s">
        <v>57</v>
      </c>
      <c r="C16" s="96" t="s">
        <v>58</v>
      </c>
      <c r="D16" s="83">
        <v>41487</v>
      </c>
      <c r="E16" s="57" t="s">
        <v>19</v>
      </c>
      <c r="F16" s="96"/>
      <c r="G16" s="58">
        <f t="shared" ca="1" si="0"/>
        <v>8</v>
      </c>
      <c r="H16" s="59">
        <f t="shared" ca="1" si="1"/>
        <v>3</v>
      </c>
      <c r="I16" s="60">
        <f t="shared" ca="1" si="2"/>
        <v>16</v>
      </c>
      <c r="J16" s="112">
        <v>588989</v>
      </c>
      <c r="K16" s="109">
        <f t="shared" si="3"/>
        <v>48400</v>
      </c>
      <c r="L16" s="46">
        <f>J16*$L$3</f>
        <v>76568.570000000007</v>
      </c>
      <c r="M16" s="35">
        <f t="shared" si="4"/>
        <v>713957.57000000007</v>
      </c>
      <c r="N16" s="92" t="s">
        <v>56</v>
      </c>
      <c r="O16" s="93" t="s">
        <v>39</v>
      </c>
      <c r="P16" s="94" t="s">
        <v>30</v>
      </c>
      <c r="Q16" s="94" t="s">
        <v>51</v>
      </c>
      <c r="R16" s="95">
        <f t="shared" ref="R16:R17" si="6">1015542*70%</f>
        <v>710879.39999999991</v>
      </c>
      <c r="S16" s="142"/>
    </row>
    <row r="17" spans="1:19" s="40" customFormat="1" ht="26.25" thickBot="1">
      <c r="A17" s="29">
        <f t="shared" si="5"/>
        <v>14</v>
      </c>
      <c r="B17" s="87" t="s">
        <v>59</v>
      </c>
      <c r="C17" s="97" t="s">
        <v>60</v>
      </c>
      <c r="D17" s="85">
        <v>41141</v>
      </c>
      <c r="E17" s="41" t="s">
        <v>19</v>
      </c>
      <c r="F17" s="41"/>
      <c r="G17" s="42">
        <f t="shared" ca="1" si="0"/>
        <v>9</v>
      </c>
      <c r="H17" s="43">
        <f t="shared" ca="1" si="1"/>
        <v>2</v>
      </c>
      <c r="I17" s="44">
        <f t="shared" ca="1" si="2"/>
        <v>27</v>
      </c>
      <c r="J17" s="45">
        <v>588989</v>
      </c>
      <c r="K17" s="14">
        <f t="shared" si="3"/>
        <v>48400</v>
      </c>
      <c r="L17" s="46">
        <f>J17*$L$3</f>
        <v>76568.570000000007</v>
      </c>
      <c r="M17" s="35">
        <f t="shared" si="4"/>
        <v>713957.57000000007</v>
      </c>
      <c r="N17" s="92" t="s">
        <v>56</v>
      </c>
      <c r="O17" s="93" t="s">
        <v>39</v>
      </c>
      <c r="P17" s="94" t="s">
        <v>30</v>
      </c>
      <c r="Q17" s="94" t="s">
        <v>51</v>
      </c>
      <c r="R17" s="95">
        <f t="shared" si="6"/>
        <v>710879.39999999991</v>
      </c>
      <c r="S17" s="142"/>
    </row>
    <row r="19" spans="1:19">
      <c r="J19" s="70" t="e">
        <f>(J17+J16+#REF!+J15+J14+J13+J12+J11+J10+J9+#REF!+J8)</f>
        <v>#REF!</v>
      </c>
      <c r="K19" s="70" t="e">
        <f>(K17+K16+#REF!+K15+K14+K13+K12+K11+K10+K9+#REF!+K8)</f>
        <v>#REF!</v>
      </c>
      <c r="L19" s="70">
        <f t="shared" ref="L19" si="7">SUM(L4:L18)</f>
        <v>1180577.26</v>
      </c>
      <c r="M19" s="70">
        <f>SUM(M4:M18)</f>
        <v>11498206.26</v>
      </c>
      <c r="O19" s="143" t="s">
        <v>61</v>
      </c>
      <c r="P19" s="143"/>
      <c r="Q19" s="143"/>
      <c r="R19" s="70" t="e">
        <f>R8+#REF!+R9+R10+R11+R12+R13+R14+R15+#REF!+R16+R17</f>
        <v>#REF!</v>
      </c>
    </row>
    <row r="20" spans="1:19" ht="18.75">
      <c r="J20" s="71"/>
      <c r="K20" s="72" t="e">
        <f>K19/J19</f>
        <v>#REF!</v>
      </c>
      <c r="L20" s="72" t="e">
        <f>L19/J19</f>
        <v>#REF!</v>
      </c>
      <c r="M20" s="73" t="e">
        <f>K20+L20</f>
        <v>#REF!</v>
      </c>
      <c r="O20" s="144" t="s">
        <v>62</v>
      </c>
      <c r="P20" s="144"/>
      <c r="Q20" s="144"/>
      <c r="R20" s="74" t="e">
        <f>(R19-J19)/J19</f>
        <v>#REF!</v>
      </c>
    </row>
  </sheetData>
  <mergeCells count="12">
    <mergeCell ref="N2:R3"/>
    <mergeCell ref="S16:S17"/>
    <mergeCell ref="O19:Q19"/>
    <mergeCell ref="O20:Q20"/>
    <mergeCell ref="E1:L1"/>
    <mergeCell ref="G2:I2"/>
    <mergeCell ref="J2:J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Bracho</dc:creator>
  <cp:lastModifiedBy>SOPORTE</cp:lastModifiedBy>
  <dcterms:created xsi:type="dcterms:W3CDTF">2021-11-16T14:57:59Z</dcterms:created>
  <dcterms:modified xsi:type="dcterms:W3CDTF">2021-11-17T13:40:57Z</dcterms:modified>
</cp:coreProperties>
</file>